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270"/>
  </bookViews>
  <sheets>
    <sheet name="Приложение № 4 (1215)" sheetId="1" r:id="rId1"/>
  </sheets>
  <definedNames>
    <definedName name="_xlnm.Print_Titles" localSheetId="0">'Приложение № 4 (1215)'!$7:$7</definedName>
    <definedName name="_xlnm.Print_Area" localSheetId="0">'Приложение № 4 (1215)'!$A$1:$K$46</definedName>
  </definedNames>
  <calcPr calcId="162913" fullPrecision="0"/>
</workbook>
</file>

<file path=xl/calcChain.xml><?xml version="1.0" encoding="utf-8"?>
<calcChain xmlns="http://schemas.openxmlformats.org/spreadsheetml/2006/main">
  <c r="E20" i="1" l="1"/>
  <c r="C20" i="1"/>
  <c r="E9" i="1"/>
  <c r="C9" i="1"/>
  <c r="D41" i="1" l="1"/>
  <c r="C41" i="1"/>
  <c r="I17" i="1" l="1"/>
  <c r="H17" i="1"/>
  <c r="G17" i="1"/>
  <c r="F17" i="1"/>
  <c r="E17" i="1"/>
  <c r="D17" i="1"/>
  <c r="C17" i="1"/>
  <c r="J17" i="1"/>
  <c r="E10" i="1" l="1"/>
  <c r="H43" i="1" l="1"/>
  <c r="J41" i="1"/>
  <c r="I41" i="1"/>
  <c r="H41" i="1"/>
  <c r="G41" i="1"/>
  <c r="F41" i="1"/>
  <c r="E41" i="1"/>
  <c r="K20" i="1"/>
  <c r="K21" i="1"/>
  <c r="J18" i="1"/>
  <c r="I18" i="1"/>
  <c r="H18" i="1"/>
  <c r="F18" i="1"/>
  <c r="I14" i="1"/>
  <c r="I12" i="1" l="1"/>
  <c r="J12" i="1"/>
  <c r="J10" i="1"/>
  <c r="I11" i="1"/>
  <c r="I10" i="1"/>
  <c r="H10" i="1"/>
  <c r="G10" i="1"/>
  <c r="F10" i="1"/>
  <c r="C10" i="1"/>
  <c r="J9" i="1" l="1"/>
  <c r="I9" i="1"/>
  <c r="H9" i="1"/>
  <c r="G9" i="1"/>
  <c r="F9" i="1"/>
  <c r="D9" i="1"/>
  <c r="J8" i="1"/>
  <c r="I8" i="1"/>
  <c r="H8" i="1"/>
  <c r="G8" i="1"/>
  <c r="F8" i="1"/>
  <c r="E8" i="1"/>
  <c r="D8" i="1"/>
  <c r="C8" i="1"/>
  <c r="E12" i="1" l="1"/>
  <c r="E11" i="1" l="1"/>
  <c r="G18" i="1" l="1"/>
  <c r="E18" i="1"/>
  <c r="K15" i="1"/>
  <c r="I43" i="1"/>
  <c r="K13" i="1" l="1"/>
  <c r="E43" i="1" l="1"/>
  <c r="J40" i="1"/>
  <c r="G40" i="1"/>
  <c r="D40" i="1"/>
  <c r="C46" i="1" l="1"/>
  <c r="K45" i="1"/>
  <c r="F40" i="1" l="1"/>
  <c r="H40" i="1"/>
  <c r="I40" i="1"/>
  <c r="E40" i="1"/>
  <c r="C40" i="1"/>
  <c r="F23" i="1" l="1"/>
  <c r="D23" i="1"/>
  <c r="D25" i="1"/>
  <c r="D24" i="1" s="1"/>
  <c r="E25" i="1"/>
  <c r="E24" i="1" s="1"/>
  <c r="E22" i="1" s="1"/>
  <c r="F25" i="1"/>
  <c r="F24" i="1" s="1"/>
  <c r="G25" i="1"/>
  <c r="G24" i="1" s="1"/>
  <c r="G22" i="1" s="1"/>
  <c r="H25" i="1"/>
  <c r="H24" i="1" s="1"/>
  <c r="H22" i="1" s="1"/>
  <c r="I25" i="1"/>
  <c r="I24" i="1" s="1"/>
  <c r="I22" i="1" s="1"/>
  <c r="J25" i="1"/>
  <c r="J24" i="1" s="1"/>
  <c r="J22" i="1" s="1"/>
  <c r="C25" i="1"/>
  <c r="C24" i="1" s="1"/>
  <c r="C22" i="1" s="1"/>
  <c r="F22" i="1" l="1"/>
  <c r="D22" i="1"/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14" i="1" l="1"/>
  <c r="K12" i="1"/>
  <c r="K11" i="1"/>
  <c r="K9" i="1" l="1"/>
  <c r="K46" i="1"/>
  <c r="K10" i="1" l="1"/>
  <c r="K19" i="1" l="1"/>
  <c r="K44" i="1" l="1"/>
  <c r="K43" i="1" l="1"/>
  <c r="K42" i="1"/>
  <c r="K41" i="1"/>
  <c r="K40" i="1" l="1"/>
  <c r="D16" i="1" l="1"/>
  <c r="I16" i="1"/>
  <c r="F16" i="1"/>
  <c r="E16" i="1"/>
  <c r="C16" i="1"/>
  <c r="G16" i="1" l="1"/>
  <c r="H16" i="1"/>
  <c r="J16" i="1"/>
  <c r="K8" i="1"/>
  <c r="K16" i="1" l="1"/>
  <c r="K18" i="1" l="1"/>
  <c r="K17" i="1" l="1"/>
</calcChain>
</file>

<file path=xl/sharedStrings.xml><?xml version="1.0" encoding="utf-8"?>
<sst xmlns="http://schemas.openxmlformats.org/spreadsheetml/2006/main" count="94" uniqueCount="94">
  <si>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</si>
  <si>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</si>
  <si>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</si>
  <si>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</si>
  <si>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</si>
  <si>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</si>
  <si>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</si>
  <si>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</si>
  <si>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</si>
  <si>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</si>
  <si>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</si>
  <si>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</si>
  <si>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</si>
  <si>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</si>
  <si>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дотации (трансферты) из республиканского бюджета, из них:</t>
  </si>
  <si>
    <t>к Закону Приднестровской Молдавской Республики</t>
  </si>
  <si>
    <t>(руб.)</t>
  </si>
  <si>
    <t>1.</t>
  </si>
  <si>
    <t>2.</t>
  </si>
  <si>
    <t>3.</t>
  </si>
  <si>
    <t>4.</t>
  </si>
  <si>
    <t>5.</t>
  </si>
  <si>
    <t>4.1.</t>
  </si>
  <si>
    <t>Приложение № 4</t>
  </si>
  <si>
    <t>Субсидии из республиканского бюджета, в том числе прошлых лет:</t>
  </si>
  <si>
    <t>на оплату текущих трансфертов предприятиям электротранспорта</t>
  </si>
  <si>
    <t>на погашение задолженности государственной администрации города Бендеры перед ОАО "Агентство по оздоровлению банковской системы"</t>
  </si>
  <si>
    <t>Предельные расходы, в т.ч.</t>
  </si>
  <si>
    <t>за счет фонда поддержки территорий городов и районов</t>
  </si>
  <si>
    <t>"О республиканском бюджете на 2023 год"</t>
  </si>
  <si>
    <t>Основные параметры местных бюджетов, источники покрытия дефицита местных бюджетов, объемы субсидий из республиканского бюджета на 2023 год</t>
  </si>
  <si>
    <t>2.2.</t>
  </si>
  <si>
    <t>2.1.</t>
  </si>
  <si>
    <t>2.3.</t>
  </si>
  <si>
    <t>2.4.</t>
  </si>
  <si>
    <t>на оплату коммунальных услуг</t>
  </si>
  <si>
    <t>на возмещение льгот по коммунальным услугам и услугам жилищного фонда</t>
  </si>
  <si>
    <t>на установку, ремонт и компенсацию за установку памятников</t>
  </si>
  <si>
    <t>5.1.</t>
  </si>
  <si>
    <t>5.2.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</si>
  <si>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</si>
  <si>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</si>
  <si>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5.3.</t>
  </si>
  <si>
    <t>5.4.</t>
  </si>
  <si>
    <t>5.5.</t>
  </si>
  <si>
    <t>на содержание и благоустройство исторического военно-мемориального комплекса «Бендерская крепость» и парка им. А. Невского</t>
  </si>
  <si>
    <t>на содержание мемориального комплекса "Кицканский плацдарм"</t>
  </si>
  <si>
    <t>4.3.</t>
  </si>
  <si>
    <t xml:space="preserve"> имеющие целевое назначение</t>
  </si>
  <si>
    <t>целевой сбор на благоустройство территорий сел</t>
  </si>
  <si>
    <t>целевой сбор на содержание и развитие соц. сферы</t>
  </si>
  <si>
    <t xml:space="preserve">налог на содержание жилищного фонда </t>
  </si>
  <si>
    <t>целевой сбор землеустроителей</t>
  </si>
  <si>
    <t xml:space="preserve">средства от приватизации </t>
  </si>
  <si>
    <t>направляемые на кредитование молодых специалистов</t>
  </si>
  <si>
    <t>направляемые на кредитование молодых семей</t>
  </si>
  <si>
    <t>а)</t>
  </si>
  <si>
    <t>б)</t>
  </si>
  <si>
    <t>в)</t>
  </si>
  <si>
    <t>г)</t>
  </si>
  <si>
    <t>д)</t>
  </si>
  <si>
    <t>е)</t>
  </si>
  <si>
    <t>ж)</t>
  </si>
  <si>
    <t>з)</t>
  </si>
  <si>
    <t>и)</t>
  </si>
  <si>
    <t>к)</t>
  </si>
  <si>
    <t>л)</t>
  </si>
  <si>
    <t>целевые сборы и платежи всего, в том числе:</t>
  </si>
  <si>
    <t>направляемые на кредитование крестьянских хозяйств</t>
  </si>
  <si>
    <t>целевой сбор на благоустрйоство с домовладения</t>
  </si>
  <si>
    <t xml:space="preserve">фонд социального развития </t>
  </si>
  <si>
    <t xml:space="preserve">фонд экономического развития </t>
  </si>
  <si>
    <t>платные услуги</t>
  </si>
  <si>
    <t>территориальный экологический фонд</t>
  </si>
  <si>
    <t>не имеющие целевого назначения  (очищенные), в том числе:</t>
  </si>
  <si>
    <t>Остатки по состоянию на 01.01.2023 года</t>
  </si>
  <si>
    <t xml:space="preserve">нераспределенне субсидии, выделенные из республиканского бюджета на развитие дорожной отрасли </t>
  </si>
  <si>
    <t>4.1.2.</t>
  </si>
  <si>
    <t>5.6.</t>
  </si>
  <si>
    <t>на финансирование 1-го этапа строительства третьей очереди полигона твердых бытовых отходов в районе с. Малаешты Григориопольского района</t>
  </si>
  <si>
    <t>2.5.</t>
  </si>
  <si>
    <t>на цели осуществления доплат сотрудникам администраций сел (поселков)</t>
  </si>
  <si>
    <t>2.6.</t>
  </si>
  <si>
    <t>на цели благоустройства, содержания, уборки и озеленения города Каменки с поселком Солнечный</t>
  </si>
  <si>
    <t>4.2.</t>
  </si>
  <si>
    <t>средства из резервных фондов  Президента ПМР и Правительства ПМР</t>
  </si>
  <si>
    <t xml:space="preserve">средства для выплаты единовременной финансовой (материальной) помощи родителям (иным законным представителям) обучающихся первого класса организаций образования, реализующих основную образовательную программу начального общего образования </t>
  </si>
  <si>
    <t>4.4.</t>
  </si>
  <si>
    <t>4.4.1.</t>
  </si>
  <si>
    <t>4.4.2.</t>
  </si>
  <si>
    <t>4.4.2.1.</t>
  </si>
  <si>
    <t>4.4.2.2.</t>
  </si>
  <si>
    <t>4.4.2.3.</t>
  </si>
  <si>
    <t>4.4.2.4.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</si>
</sst>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3" fillId="0" borderId="5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vertical="center" wrapText="1"/>
    </xf>
    <xf numFmtId="3" fontId="3" fillId="3" borderId="5" xfId="1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/>
    <xf numFmtId="3" fontId="2" fillId="3" borderId="0" xfId="0" applyNumberFormat="1" applyFont="1" applyFill="1"/>
    <xf numFmtId="3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 wrapText="1"/>
    </xf>
    <xf numFmtId="3" fontId="2" fillId="0" borderId="12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wrapText="1"/>
    </xf>
  </cellXfs>
  <cellStyles count="13">
    <cellStyle name="Обычный" xfId="0" builtinId="0"/>
    <cellStyle name="Финансовый 2" xfId="1"/>
    <cellStyle name="Финансовый 2 2" xfId="4"/>
    <cellStyle name="Финансовый 2 2 2" xfId="9"/>
    <cellStyle name="Финансовый 2 3" xfId="6"/>
    <cellStyle name="Финансовый 3" xfId="2"/>
    <cellStyle name="Финансовый 3 2" xfId="7"/>
    <cellStyle name="Финансовый 4" xfId="3"/>
    <cellStyle name="Финансовый 4 2" xfId="8"/>
    <cellStyle name="Финансовый 5" xfId="5"/>
    <cellStyle name="Финансовый 5 2" xfId="10"/>
    <cellStyle name="Финансовый 5 2 2" xfId="12"/>
    <cellStyle name="Финансовый 5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="90" zoomScaleNormal="90" zoomScaleSheetLayoutView="80" workbookViewId="0">
      <pane xSplit="2" ySplit="7" topLeftCell="C37" activePane="bottomRight" state="frozenSplit"/>
      <selection pane="topRight" activeCell="B1" sqref="B1"/>
      <selection pane="bottomLeft" activeCell="A8" sqref="A8"/>
      <selection pane="bottomRight" activeCell="C17" sqref="C17"/>
    </sheetView>
  </sheetViews>
  <sheetFormatPr defaultColWidth="9.140625" defaultRowHeight="15.75" x14ac:dyDescent="0.25"/>
  <cols>
    <col min="1" max="1" width="8.7109375" style="1" bestFit="1" customWidth="1"/>
    <col min="2" max="2" width="43.28515625" style="1" customWidth="1"/>
    <col min="3" max="3" width="13.5703125" style="1" bestFit="1" customWidth="1"/>
    <col min="4" max="5" width="13.7109375" style="1" bestFit="1" customWidth="1"/>
    <col min="6" max="6" width="13.5703125" style="1" bestFit="1" customWidth="1"/>
    <col min="7" max="7" width="13.7109375" style="25" bestFit="1" customWidth="1"/>
    <col min="8" max="8" width="13.7109375" style="1" bestFit="1" customWidth="1"/>
    <col min="9" max="9" width="15.5703125" style="1" customWidth="1"/>
    <col min="10" max="10" width="13" style="1" bestFit="1" customWidth="1"/>
    <col min="11" max="11" width="15.5703125" style="1" customWidth="1"/>
    <col min="12" max="12" width="2.28515625" style="1" customWidth="1"/>
    <col min="13" max="13" width="13.28515625" style="1" customWidth="1"/>
    <col min="14" max="14" width="12.140625" style="1" customWidth="1"/>
    <col min="15" max="15" width="14.5703125" style="1" customWidth="1"/>
    <col min="16" max="16" width="15.28515625" style="1" customWidth="1"/>
    <col min="17" max="17" width="12.85546875" style="1" customWidth="1"/>
    <col min="18" max="18" width="12" style="1" customWidth="1"/>
    <col min="19" max="19" width="13.42578125" style="1" customWidth="1"/>
    <col min="20" max="20" width="11.85546875" style="1" customWidth="1"/>
    <col min="21" max="21" width="16" style="1" customWidth="1"/>
    <col min="22" max="16384" width="9.140625" style="1"/>
  </cols>
  <sheetData>
    <row r="1" spans="1:12" x14ac:dyDescent="0.25">
      <c r="B1" s="24"/>
      <c r="K1" s="2" t="s">
        <v>23</v>
      </c>
    </row>
    <row r="2" spans="1:12" x14ac:dyDescent="0.25">
      <c r="K2" s="2" t="s">
        <v>15</v>
      </c>
    </row>
    <row r="3" spans="1:12" x14ac:dyDescent="0.25">
      <c r="K3" s="2" t="s">
        <v>29</v>
      </c>
    </row>
    <row r="4" spans="1:12" x14ac:dyDescent="0.25">
      <c r="K4" s="2"/>
    </row>
    <row r="5" spans="1:12" x14ac:dyDescent="0.25">
      <c r="A5" s="50" t="s">
        <v>30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2" ht="16.5" thickBot="1" x14ac:dyDescent="0.3">
      <c r="G6" s="1"/>
      <c r="K6" s="2" t="s">
        <v>16</v>
      </c>
    </row>
    <row r="7" spans="1:12" s="3" customFormat="1" ht="16.5" thickBot="1" x14ac:dyDescent="0.3">
      <c r="A7" s="8" t="s">
        <v>10</v>
      </c>
      <c r="B7" s="9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1" t="s">
        <v>5</v>
      </c>
      <c r="H7" s="10" t="s">
        <v>6</v>
      </c>
      <c r="I7" s="10" t="s">
        <v>7</v>
      </c>
      <c r="J7" s="10" t="s">
        <v>8</v>
      </c>
      <c r="K7" s="12" t="s">
        <v>9</v>
      </c>
    </row>
    <row r="8" spans="1:12" s="3" customFormat="1" x14ac:dyDescent="0.25">
      <c r="A8" s="14" t="s">
        <v>17</v>
      </c>
      <c r="B8" s="7" t="s">
        <v>12</v>
      </c>
      <c r="C8" s="16">
        <f>434643227-2408783</f>
        <v>432234444</v>
      </c>
      <c r="D8" s="16">
        <f>41969227+638342</f>
        <v>42607569</v>
      </c>
      <c r="E8" s="16">
        <f>288779014-14659683+1088730+181750-595794</f>
        <v>274794017</v>
      </c>
      <c r="F8" s="16">
        <f>262313004-13429124-2094675</f>
        <v>246789205</v>
      </c>
      <c r="G8" s="17">
        <f>110293459-3815934+632547</f>
        <v>107110072</v>
      </c>
      <c r="H8" s="16">
        <f>165662665-3086763+2432184</f>
        <v>165008086</v>
      </c>
      <c r="I8" s="16">
        <f>90675549+688899+2930715</f>
        <v>94295163</v>
      </c>
      <c r="J8" s="16">
        <f>49658841+1520557</f>
        <v>51179398</v>
      </c>
      <c r="K8" s="18">
        <f>SUM(C8:J8)</f>
        <v>1414017954</v>
      </c>
    </row>
    <row r="9" spans="1:12" s="3" customFormat="1" x14ac:dyDescent="0.25">
      <c r="A9" s="15" t="s">
        <v>18</v>
      </c>
      <c r="B9" s="4" t="s">
        <v>27</v>
      </c>
      <c r="C9" s="19">
        <f>482725642-161223+510000</f>
        <v>483074419</v>
      </c>
      <c r="D9" s="19">
        <f>47543096+2161631+812222</f>
        <v>50516949</v>
      </c>
      <c r="E9" s="19">
        <f>328503941+679524+E14+1088730+181750+3064139+199686</f>
        <v>333764696</v>
      </c>
      <c r="F9" s="19">
        <f>278936059+9765566-9765566+F14+3687437</f>
        <v>282943920</v>
      </c>
      <c r="G9" s="19">
        <f>141356800+265+G14+1091397</f>
        <v>142502877</v>
      </c>
      <c r="H9" s="19">
        <f>224671237+113373+H14+1134891</f>
        <v>226506313</v>
      </c>
      <c r="I9" s="19">
        <f>141705660+688899+I14+1037133</f>
        <v>143897539</v>
      </c>
      <c r="J9" s="19">
        <f>82897127-13610+J14+607480+601831</f>
        <v>84222183</v>
      </c>
      <c r="K9" s="20">
        <f>SUM(C9:J9)</f>
        <v>1747428896</v>
      </c>
      <c r="L9" s="6"/>
    </row>
    <row r="10" spans="1:12" s="3" customFormat="1" x14ac:dyDescent="0.25">
      <c r="A10" s="13" t="s">
        <v>32</v>
      </c>
      <c r="B10" s="5" t="s">
        <v>35</v>
      </c>
      <c r="C10" s="26">
        <f>17609568-1167386</f>
        <v>16442182</v>
      </c>
      <c r="D10" s="21">
        <v>1228399</v>
      </c>
      <c r="E10" s="21">
        <f>12112932+2017+25472-326351</f>
        <v>11814070</v>
      </c>
      <c r="F10" s="21">
        <f>12777206+91</f>
        <v>12777297</v>
      </c>
      <c r="G10" s="21">
        <f>4740629+265+6075</f>
        <v>4746969</v>
      </c>
      <c r="H10" s="21">
        <f>6596275+65268+218884</f>
        <v>6880427</v>
      </c>
      <c r="I10" s="21">
        <f>4328873+72485</f>
        <v>4401358</v>
      </c>
      <c r="J10" s="21">
        <f>3325774-13610+16003+6004</f>
        <v>3334171</v>
      </c>
      <c r="K10" s="23">
        <f t="shared" ref="K10:K43" si="0">SUM(C10:J10)</f>
        <v>61624873</v>
      </c>
      <c r="L10" s="6"/>
    </row>
    <row r="11" spans="1:12" s="3" customFormat="1" ht="31.5" x14ac:dyDescent="0.25">
      <c r="A11" s="13" t="s">
        <v>31</v>
      </c>
      <c r="B11" s="5" t="s">
        <v>36</v>
      </c>
      <c r="C11" s="26">
        <v>5696252</v>
      </c>
      <c r="D11" s="21">
        <v>437544</v>
      </c>
      <c r="E11" s="21">
        <f>2421641-305981</f>
        <v>2115660</v>
      </c>
      <c r="F11" s="21">
        <v>1583255</v>
      </c>
      <c r="G11" s="21">
        <v>392988</v>
      </c>
      <c r="H11" s="21"/>
      <c r="I11" s="21">
        <f>50000+102000</f>
        <v>152000</v>
      </c>
      <c r="J11" s="21"/>
      <c r="K11" s="23">
        <f t="shared" ref="K11:K14" si="1">SUM(C11:J11)</f>
        <v>10377699</v>
      </c>
      <c r="L11" s="6"/>
    </row>
    <row r="12" spans="1:12" s="3" customFormat="1" ht="31.5" x14ac:dyDescent="0.25">
      <c r="A12" s="13" t="s">
        <v>33</v>
      </c>
      <c r="B12" s="5" t="s">
        <v>37</v>
      </c>
      <c r="C12" s="26">
        <v>33750</v>
      </c>
      <c r="D12" s="21">
        <v>13500</v>
      </c>
      <c r="E12" s="21">
        <f>186930-164730</f>
        <v>22200</v>
      </c>
      <c r="F12" s="21">
        <v>27000</v>
      </c>
      <c r="G12" s="21">
        <v>27000</v>
      </c>
      <c r="H12" s="21">
        <v>98000</v>
      </c>
      <c r="I12" s="21">
        <f>150000-85716</f>
        <v>64284</v>
      </c>
      <c r="J12" s="21">
        <f>6750-6750</f>
        <v>0</v>
      </c>
      <c r="K12" s="23">
        <f t="shared" si="1"/>
        <v>285734</v>
      </c>
      <c r="L12" s="6"/>
    </row>
    <row r="13" spans="1:12" s="3" customFormat="1" ht="31.5" x14ac:dyDescent="0.25">
      <c r="A13" s="13" t="s">
        <v>34</v>
      </c>
      <c r="B13" s="5" t="s">
        <v>25</v>
      </c>
      <c r="C13" s="26">
        <v>14311588</v>
      </c>
      <c r="D13" s="21"/>
      <c r="E13" s="21">
        <v>18037514</v>
      </c>
      <c r="F13" s="21"/>
      <c r="G13" s="21"/>
      <c r="H13" s="21"/>
      <c r="I13" s="21"/>
      <c r="J13" s="21"/>
      <c r="K13" s="23">
        <f t="shared" ref="K13" si="2">SUM(C13:J13)</f>
        <v>32349102</v>
      </c>
      <c r="L13" s="6"/>
    </row>
    <row r="14" spans="1:12" s="3" customFormat="1" ht="47.25" x14ac:dyDescent="0.25">
      <c r="A14" s="13" t="s">
        <v>80</v>
      </c>
      <c r="B14" s="5" t="s">
        <v>81</v>
      </c>
      <c r="C14" s="26"/>
      <c r="D14" s="21"/>
      <c r="E14" s="21">
        <v>46926</v>
      </c>
      <c r="F14" s="21">
        <v>320424</v>
      </c>
      <c r="G14" s="21">
        <v>54415</v>
      </c>
      <c r="H14" s="21">
        <v>586812</v>
      </c>
      <c r="I14" s="21">
        <f>465847</f>
        <v>465847</v>
      </c>
      <c r="J14" s="21">
        <v>129355</v>
      </c>
      <c r="K14" s="23">
        <f t="shared" si="1"/>
        <v>1603779</v>
      </c>
      <c r="L14" s="6"/>
    </row>
    <row r="15" spans="1:12" s="3" customFormat="1" ht="47.25" x14ac:dyDescent="0.25">
      <c r="A15" s="13" t="s">
        <v>82</v>
      </c>
      <c r="B15" s="5" t="s">
        <v>83</v>
      </c>
      <c r="C15" s="26"/>
      <c r="D15" s="21"/>
      <c r="E15" s="21"/>
      <c r="F15" s="21"/>
      <c r="G15" s="21"/>
      <c r="H15" s="21"/>
      <c r="I15" s="21"/>
      <c r="J15" s="21">
        <v>607480</v>
      </c>
      <c r="K15" s="23">
        <f t="shared" ref="K15" si="3">SUM(C15:J15)</f>
        <v>607480</v>
      </c>
      <c r="L15" s="6"/>
    </row>
    <row r="16" spans="1:12" s="48" customFormat="1" x14ac:dyDescent="0.25">
      <c r="A16" s="44" t="s">
        <v>19</v>
      </c>
      <c r="B16" s="45" t="s">
        <v>11</v>
      </c>
      <c r="C16" s="46">
        <f t="shared" ref="C16:J16" si="4">C9-C8</f>
        <v>50839975</v>
      </c>
      <c r="D16" s="46">
        <f t="shared" si="4"/>
        <v>7909380</v>
      </c>
      <c r="E16" s="46">
        <f t="shared" si="4"/>
        <v>58970679</v>
      </c>
      <c r="F16" s="46">
        <f t="shared" si="4"/>
        <v>36154715</v>
      </c>
      <c r="G16" s="46">
        <f t="shared" si="4"/>
        <v>35392805</v>
      </c>
      <c r="H16" s="46">
        <f t="shared" si="4"/>
        <v>61498227</v>
      </c>
      <c r="I16" s="46">
        <f t="shared" si="4"/>
        <v>49602376</v>
      </c>
      <c r="J16" s="46">
        <f t="shared" si="4"/>
        <v>33042785</v>
      </c>
      <c r="K16" s="47">
        <f t="shared" si="0"/>
        <v>333410942</v>
      </c>
    </row>
    <row r="17" spans="1:12" s="49" customFormat="1" ht="31.5" x14ac:dyDescent="0.25">
      <c r="A17" s="44" t="s">
        <v>20</v>
      </c>
      <c r="B17" s="45" t="s">
        <v>13</v>
      </c>
      <c r="C17" s="46">
        <f t="shared" ref="C17:I17" si="5">SUM(C18+C22+C20+C21)</f>
        <v>50839975</v>
      </c>
      <c r="D17" s="46">
        <f t="shared" si="5"/>
        <v>7909380</v>
      </c>
      <c r="E17" s="46">
        <f t="shared" si="5"/>
        <v>58970679</v>
      </c>
      <c r="F17" s="46">
        <f t="shared" si="5"/>
        <v>36154715</v>
      </c>
      <c r="G17" s="46">
        <f t="shared" si="5"/>
        <v>35392805</v>
      </c>
      <c r="H17" s="46">
        <f t="shared" si="5"/>
        <v>61498227</v>
      </c>
      <c r="I17" s="46">
        <f t="shared" si="5"/>
        <v>49602376</v>
      </c>
      <c r="J17" s="46">
        <f>SUM(J18+J22+J20+J21)</f>
        <v>33042785</v>
      </c>
      <c r="K17" s="47">
        <f t="shared" si="0"/>
        <v>333410942</v>
      </c>
      <c r="L17" s="48"/>
    </row>
    <row r="18" spans="1:12" s="3" customFormat="1" ht="31.5" x14ac:dyDescent="0.25">
      <c r="A18" s="32" t="s">
        <v>22</v>
      </c>
      <c r="B18" s="33" t="s">
        <v>14</v>
      </c>
      <c r="C18" s="34"/>
      <c r="D18" s="34"/>
      <c r="E18" s="34">
        <f>30911568+E19+15339207+46926</f>
        <v>50481403</v>
      </c>
      <c r="F18" s="34">
        <f>0+3663558+320424+4866022</f>
        <v>8850004</v>
      </c>
      <c r="G18" s="34">
        <f>20909534+3816199+54415</f>
        <v>24780148</v>
      </c>
      <c r="H18" s="34">
        <f>50111118+3200136+586812-2271343</f>
        <v>51626723</v>
      </c>
      <c r="I18" s="34">
        <f>43790084+465847-2455980</f>
        <v>41799951</v>
      </c>
      <c r="J18" s="34">
        <f>25631564-13610+607480+129355-1542818</f>
        <v>24811971</v>
      </c>
      <c r="K18" s="35">
        <f t="shared" si="0"/>
        <v>202350200</v>
      </c>
      <c r="L18" s="6"/>
    </row>
    <row r="19" spans="1:12" s="6" customFormat="1" ht="63" x14ac:dyDescent="0.25">
      <c r="A19" s="13" t="s">
        <v>77</v>
      </c>
      <c r="B19" s="37" t="s">
        <v>26</v>
      </c>
      <c r="C19" s="21"/>
      <c r="D19" s="21"/>
      <c r="E19" s="21">
        <v>4183702</v>
      </c>
      <c r="F19" s="21"/>
      <c r="G19" s="21"/>
      <c r="H19" s="21"/>
      <c r="I19" s="21"/>
      <c r="J19" s="21"/>
      <c r="K19" s="23">
        <f t="shared" ref="K19:K21" si="6">SUM(C19:J19)</f>
        <v>4183702</v>
      </c>
    </row>
    <row r="20" spans="1:12" s="6" customFormat="1" ht="47.25" x14ac:dyDescent="0.25">
      <c r="A20" s="32" t="s">
        <v>84</v>
      </c>
      <c r="B20" s="43" t="s">
        <v>85</v>
      </c>
      <c r="C20" s="34">
        <f>0+510000</f>
        <v>510000</v>
      </c>
      <c r="D20" s="34"/>
      <c r="E20" s="34">
        <f>2549033+199686</f>
        <v>2748719</v>
      </c>
      <c r="F20" s="34"/>
      <c r="G20" s="34"/>
      <c r="H20" s="34"/>
      <c r="I20" s="34">
        <v>108378</v>
      </c>
      <c r="J20" s="34">
        <v>335902</v>
      </c>
      <c r="K20" s="23">
        <f t="shared" si="6"/>
        <v>3702999</v>
      </c>
    </row>
    <row r="21" spans="1:12" s="6" customFormat="1" ht="126" x14ac:dyDescent="0.25">
      <c r="A21" s="32" t="s">
        <v>47</v>
      </c>
      <c r="B21" s="43" t="s">
        <v>86</v>
      </c>
      <c r="C21" s="34">
        <v>2247560</v>
      </c>
      <c r="D21" s="34">
        <v>173880</v>
      </c>
      <c r="E21" s="34">
        <v>1110900</v>
      </c>
      <c r="F21" s="34">
        <v>916090</v>
      </c>
      <c r="G21" s="34">
        <v>458850</v>
      </c>
      <c r="H21" s="34">
        <v>974050</v>
      </c>
      <c r="I21" s="34">
        <v>454020</v>
      </c>
      <c r="J21" s="34">
        <v>288190</v>
      </c>
      <c r="K21" s="23">
        <f t="shared" si="6"/>
        <v>6623540</v>
      </c>
    </row>
    <row r="22" spans="1:12" ht="31.5" x14ac:dyDescent="0.25">
      <c r="A22" s="32" t="s">
        <v>87</v>
      </c>
      <c r="B22" s="33" t="s">
        <v>75</v>
      </c>
      <c r="C22" s="34">
        <f t="shared" ref="C22:J22" si="7">SUM(C23+C24)</f>
        <v>48082415</v>
      </c>
      <c r="D22" s="34">
        <f t="shared" si="7"/>
        <v>7735500</v>
      </c>
      <c r="E22" s="34">
        <f t="shared" si="7"/>
        <v>4629657</v>
      </c>
      <c r="F22" s="34">
        <f t="shared" si="7"/>
        <v>26388621</v>
      </c>
      <c r="G22" s="34">
        <f t="shared" si="7"/>
        <v>10153807</v>
      </c>
      <c r="H22" s="34">
        <f t="shared" si="7"/>
        <v>8897454</v>
      </c>
      <c r="I22" s="34">
        <f t="shared" si="7"/>
        <v>7240027</v>
      </c>
      <c r="J22" s="34">
        <f t="shared" si="7"/>
        <v>7606722</v>
      </c>
      <c r="K22" s="35">
        <f t="shared" ref="K22" si="8">SUM(C22:J22)</f>
        <v>120734203</v>
      </c>
    </row>
    <row r="23" spans="1:12" ht="31.5" x14ac:dyDescent="0.25">
      <c r="A23" s="13" t="s">
        <v>88</v>
      </c>
      <c r="B23" s="5" t="s">
        <v>74</v>
      </c>
      <c r="C23" s="21">
        <v>41616119</v>
      </c>
      <c r="D23" s="21">
        <f>763338+2161631</f>
        <v>2924969</v>
      </c>
      <c r="E23" s="21">
        <v>683174</v>
      </c>
      <c r="F23" s="21">
        <f>2683543+9765566</f>
        <v>12449109</v>
      </c>
      <c r="G23" s="21">
        <v>4535602</v>
      </c>
      <c r="H23" s="21">
        <v>4724905</v>
      </c>
      <c r="I23" s="21">
        <v>464592</v>
      </c>
      <c r="J23" s="21">
        <v>1739705</v>
      </c>
      <c r="K23" s="23">
        <f t="shared" si="0"/>
        <v>69138175</v>
      </c>
    </row>
    <row r="24" spans="1:12" x14ac:dyDescent="0.25">
      <c r="A24" s="13" t="s">
        <v>89</v>
      </c>
      <c r="B24" s="5" t="s">
        <v>48</v>
      </c>
      <c r="C24" s="21">
        <f>SUM(C25+C37+C38+C39)</f>
        <v>6466296</v>
      </c>
      <c r="D24" s="21">
        <f t="shared" ref="D24:J24" si="9">SUM(D25+D37+D38+D39)</f>
        <v>4810531</v>
      </c>
      <c r="E24" s="21">
        <f t="shared" si="9"/>
        <v>3946483</v>
      </c>
      <c r="F24" s="21">
        <f t="shared" si="9"/>
        <v>13939512</v>
      </c>
      <c r="G24" s="21">
        <f t="shared" si="9"/>
        <v>5618205</v>
      </c>
      <c r="H24" s="21">
        <f t="shared" si="9"/>
        <v>4172549</v>
      </c>
      <c r="I24" s="21">
        <f t="shared" si="9"/>
        <v>6775435</v>
      </c>
      <c r="J24" s="21">
        <f t="shared" si="9"/>
        <v>5867017</v>
      </c>
      <c r="K24" s="23">
        <f t="shared" si="0"/>
        <v>51596028</v>
      </c>
    </row>
    <row r="25" spans="1:12" ht="31.5" x14ac:dyDescent="0.25">
      <c r="A25" s="13" t="s">
        <v>90</v>
      </c>
      <c r="B25" s="5" t="s">
        <v>67</v>
      </c>
      <c r="C25" s="21">
        <f>SUM(C26:C36)</f>
        <v>2872769</v>
      </c>
      <c r="D25" s="21">
        <f t="shared" ref="D25:J25" si="10">SUM(D26:D36)</f>
        <v>114390</v>
      </c>
      <c r="E25" s="21">
        <f t="shared" si="10"/>
        <v>1614571</v>
      </c>
      <c r="F25" s="21">
        <f t="shared" si="10"/>
        <v>12583670</v>
      </c>
      <c r="G25" s="21">
        <f t="shared" si="10"/>
        <v>1838220</v>
      </c>
      <c r="H25" s="21">
        <f t="shared" si="10"/>
        <v>3312043</v>
      </c>
      <c r="I25" s="21">
        <f t="shared" si="10"/>
        <v>2641789</v>
      </c>
      <c r="J25" s="21">
        <f t="shared" si="10"/>
        <v>1839348</v>
      </c>
      <c r="K25" s="23">
        <f t="shared" si="0"/>
        <v>26816800</v>
      </c>
    </row>
    <row r="26" spans="1:12" ht="31.5" x14ac:dyDescent="0.25">
      <c r="A26" s="13" t="s">
        <v>56</v>
      </c>
      <c r="B26" s="36" t="s">
        <v>49</v>
      </c>
      <c r="C26" s="21">
        <v>57689</v>
      </c>
      <c r="D26" s="21"/>
      <c r="E26" s="21"/>
      <c r="F26" s="21">
        <v>558921</v>
      </c>
      <c r="G26" s="21">
        <v>234038</v>
      </c>
      <c r="H26" s="21">
        <v>348881</v>
      </c>
      <c r="I26" s="21">
        <v>318939</v>
      </c>
      <c r="J26" s="21">
        <v>205512</v>
      </c>
      <c r="K26" s="23">
        <f t="shared" si="0"/>
        <v>1723980</v>
      </c>
    </row>
    <row r="27" spans="1:12" ht="31.5" x14ac:dyDescent="0.25">
      <c r="A27" s="13" t="s">
        <v>57</v>
      </c>
      <c r="B27" s="36" t="s">
        <v>69</v>
      </c>
      <c r="C27" s="21"/>
      <c r="D27" s="21"/>
      <c r="E27" s="21">
        <v>1241</v>
      </c>
      <c r="F27" s="21">
        <v>18096</v>
      </c>
      <c r="G27" s="21"/>
      <c r="H27" s="21"/>
      <c r="I27" s="21"/>
      <c r="J27" s="21">
        <v>17651</v>
      </c>
      <c r="K27" s="23">
        <f t="shared" si="0"/>
        <v>36988</v>
      </c>
    </row>
    <row r="28" spans="1:12" ht="31.5" x14ac:dyDescent="0.25">
      <c r="A28" s="13" t="s">
        <v>58</v>
      </c>
      <c r="B28" s="36" t="s">
        <v>50</v>
      </c>
      <c r="C28" s="21">
        <v>24529</v>
      </c>
      <c r="D28" s="21"/>
      <c r="E28" s="21">
        <v>4759</v>
      </c>
      <c r="F28" s="21">
        <v>1261689</v>
      </c>
      <c r="G28" s="21">
        <v>216733</v>
      </c>
      <c r="H28" s="21">
        <v>6240</v>
      </c>
      <c r="I28" s="21">
        <v>423463</v>
      </c>
      <c r="J28" s="21">
        <v>216807</v>
      </c>
      <c r="K28" s="23">
        <f t="shared" si="0"/>
        <v>2154220</v>
      </c>
    </row>
    <row r="29" spans="1:12" x14ac:dyDescent="0.25">
      <c r="A29" s="13" t="s">
        <v>59</v>
      </c>
      <c r="B29" s="36" t="s">
        <v>51</v>
      </c>
      <c r="C29" s="21">
        <v>1821804</v>
      </c>
      <c r="D29" s="21">
        <v>6</v>
      </c>
      <c r="E29" s="21">
        <v>30354</v>
      </c>
      <c r="F29" s="21">
        <v>9350120</v>
      </c>
      <c r="G29" s="21">
        <v>741782</v>
      </c>
      <c r="H29" s="21">
        <v>1754987</v>
      </c>
      <c r="I29" s="21">
        <v>613593</v>
      </c>
      <c r="J29" s="21">
        <v>422023</v>
      </c>
      <c r="K29" s="23">
        <f t="shared" si="0"/>
        <v>14734669</v>
      </c>
    </row>
    <row r="30" spans="1:12" x14ac:dyDescent="0.25">
      <c r="A30" s="13" t="s">
        <v>60</v>
      </c>
      <c r="B30" s="36" t="s">
        <v>52</v>
      </c>
      <c r="C30" s="21"/>
      <c r="D30" s="21"/>
      <c r="E30" s="21"/>
      <c r="F30" s="21"/>
      <c r="G30" s="21">
        <v>6534</v>
      </c>
      <c r="H30" s="21"/>
      <c r="I30" s="21">
        <v>5963</v>
      </c>
      <c r="J30" s="21"/>
      <c r="K30" s="23">
        <f t="shared" si="0"/>
        <v>12497</v>
      </c>
    </row>
    <row r="31" spans="1:12" x14ac:dyDescent="0.25">
      <c r="A31" s="13" t="s">
        <v>61</v>
      </c>
      <c r="B31" s="36" t="s">
        <v>53</v>
      </c>
      <c r="C31" s="21">
        <v>486973</v>
      </c>
      <c r="D31" s="21">
        <v>114384</v>
      </c>
      <c r="E31" s="21"/>
      <c r="F31" s="21"/>
      <c r="G31" s="21"/>
      <c r="H31" s="21"/>
      <c r="I31" s="21"/>
      <c r="J31" s="21"/>
      <c r="K31" s="23">
        <f t="shared" si="0"/>
        <v>601357</v>
      </c>
    </row>
    <row r="32" spans="1:12" ht="31.5" x14ac:dyDescent="0.25">
      <c r="A32" s="13" t="s">
        <v>62</v>
      </c>
      <c r="B32" s="36" t="s">
        <v>68</v>
      </c>
      <c r="C32" s="21"/>
      <c r="D32" s="21"/>
      <c r="E32" s="21"/>
      <c r="F32" s="21">
        <v>541915</v>
      </c>
      <c r="G32" s="21"/>
      <c r="H32" s="21">
        <v>462782</v>
      </c>
      <c r="I32" s="21">
        <v>964428</v>
      </c>
      <c r="J32" s="21">
        <v>562356</v>
      </c>
      <c r="K32" s="23">
        <f t="shared" si="0"/>
        <v>2531481</v>
      </c>
    </row>
    <row r="33" spans="1:11" ht="31.5" x14ac:dyDescent="0.25">
      <c r="A33" s="13" t="s">
        <v>63</v>
      </c>
      <c r="B33" s="36" t="s">
        <v>54</v>
      </c>
      <c r="C33" s="21"/>
      <c r="D33" s="21"/>
      <c r="E33" s="21"/>
      <c r="F33" s="21">
        <v>58080</v>
      </c>
      <c r="G33" s="21"/>
      <c r="H33" s="21">
        <v>484390</v>
      </c>
      <c r="I33" s="21">
        <v>43064</v>
      </c>
      <c r="J33" s="21">
        <v>228359</v>
      </c>
      <c r="K33" s="23">
        <f t="shared" si="0"/>
        <v>813893</v>
      </c>
    </row>
    <row r="34" spans="1:11" ht="31.5" x14ac:dyDescent="0.25">
      <c r="A34" s="13" t="s">
        <v>64</v>
      </c>
      <c r="B34" s="36" t="s">
        <v>55</v>
      </c>
      <c r="C34" s="21">
        <v>481774</v>
      </c>
      <c r="D34" s="21"/>
      <c r="E34" s="21">
        <v>154458</v>
      </c>
      <c r="F34" s="21">
        <v>261249</v>
      </c>
      <c r="G34" s="21">
        <v>44612</v>
      </c>
      <c r="H34" s="21">
        <v>17182</v>
      </c>
      <c r="I34" s="21">
        <v>27615</v>
      </c>
      <c r="J34" s="21">
        <v>149370</v>
      </c>
      <c r="K34" s="23">
        <f t="shared" si="0"/>
        <v>1136260</v>
      </c>
    </row>
    <row r="35" spans="1:11" x14ac:dyDescent="0.25">
      <c r="A35" s="13" t="s">
        <v>65</v>
      </c>
      <c r="B35" s="36" t="s">
        <v>70</v>
      </c>
      <c r="C35" s="21"/>
      <c r="D35" s="21"/>
      <c r="E35" s="21">
        <v>649737</v>
      </c>
      <c r="F35" s="21">
        <v>160979</v>
      </c>
      <c r="G35" s="21">
        <v>244901</v>
      </c>
      <c r="H35" s="21">
        <v>91382</v>
      </c>
      <c r="I35" s="21">
        <v>99985</v>
      </c>
      <c r="J35" s="21"/>
      <c r="K35" s="23">
        <f t="shared" si="0"/>
        <v>1246984</v>
      </c>
    </row>
    <row r="36" spans="1:11" x14ac:dyDescent="0.25">
      <c r="A36" s="13" t="s">
        <v>66</v>
      </c>
      <c r="B36" s="36" t="s">
        <v>71</v>
      </c>
      <c r="C36" s="21"/>
      <c r="D36" s="21"/>
      <c r="E36" s="21">
        <v>774022</v>
      </c>
      <c r="F36" s="21">
        <v>372621</v>
      </c>
      <c r="G36" s="21">
        <v>349620</v>
      </c>
      <c r="H36" s="21">
        <v>146199</v>
      </c>
      <c r="I36" s="21">
        <v>144739</v>
      </c>
      <c r="J36" s="21">
        <v>37270</v>
      </c>
      <c r="K36" s="23">
        <f t="shared" si="0"/>
        <v>1824471</v>
      </c>
    </row>
    <row r="37" spans="1:11" x14ac:dyDescent="0.25">
      <c r="A37" s="13" t="s">
        <v>91</v>
      </c>
      <c r="B37" s="36" t="s">
        <v>73</v>
      </c>
      <c r="C37" s="21">
        <v>206741</v>
      </c>
      <c r="D37" s="21">
        <v>4269794</v>
      </c>
      <c r="E37" s="21">
        <v>1530</v>
      </c>
      <c r="F37" s="21">
        <v>331743</v>
      </c>
      <c r="G37" s="21">
        <v>413636</v>
      </c>
      <c r="H37" s="21">
        <v>3723</v>
      </c>
      <c r="I37" s="21">
        <v>402323</v>
      </c>
      <c r="J37" s="21">
        <v>407083</v>
      </c>
      <c r="K37" s="23">
        <f t="shared" si="0"/>
        <v>6036573</v>
      </c>
    </row>
    <row r="38" spans="1:11" x14ac:dyDescent="0.25">
      <c r="A38" s="13" t="s">
        <v>92</v>
      </c>
      <c r="B38" s="36" t="s">
        <v>72</v>
      </c>
      <c r="C38" s="21">
        <v>2408514</v>
      </c>
      <c r="D38" s="21">
        <v>148795</v>
      </c>
      <c r="E38" s="21">
        <v>1741591</v>
      </c>
      <c r="F38" s="21">
        <v>929559</v>
      </c>
      <c r="G38" s="21">
        <v>2589476</v>
      </c>
      <c r="H38" s="21">
        <v>413797</v>
      </c>
      <c r="I38" s="21">
        <v>253820</v>
      </c>
      <c r="J38" s="21">
        <v>813176</v>
      </c>
      <c r="K38" s="23">
        <f t="shared" si="0"/>
        <v>9298728</v>
      </c>
    </row>
    <row r="39" spans="1:11" ht="47.25" x14ac:dyDescent="0.25">
      <c r="A39" s="13" t="s">
        <v>93</v>
      </c>
      <c r="B39" s="36" t="s">
        <v>76</v>
      </c>
      <c r="C39" s="21">
        <v>978272</v>
      </c>
      <c r="D39" s="21">
        <v>277552</v>
      </c>
      <c r="E39" s="21">
        <v>588791</v>
      </c>
      <c r="F39" s="21">
        <v>94540</v>
      </c>
      <c r="G39" s="21">
        <v>776873</v>
      </c>
      <c r="H39" s="21">
        <v>442986</v>
      </c>
      <c r="I39" s="21">
        <v>3477503</v>
      </c>
      <c r="J39" s="21">
        <v>2807410</v>
      </c>
      <c r="K39" s="23">
        <f t="shared" si="0"/>
        <v>9443927</v>
      </c>
    </row>
    <row r="40" spans="1:11" ht="31.5" x14ac:dyDescent="0.25">
      <c r="A40" s="15" t="s">
        <v>21</v>
      </c>
      <c r="B40" s="4" t="s">
        <v>24</v>
      </c>
      <c r="C40" s="19">
        <f t="shared" ref="C40:J40" si="11">SUM(C41:C46)</f>
        <v>63610008</v>
      </c>
      <c r="D40" s="19">
        <f t="shared" si="11"/>
        <v>2944457</v>
      </c>
      <c r="E40" s="19">
        <f t="shared" si="11"/>
        <v>54494102</v>
      </c>
      <c r="F40" s="19">
        <f t="shared" si="11"/>
        <v>46670651</v>
      </c>
      <c r="G40" s="19">
        <f t="shared" si="11"/>
        <v>30793122</v>
      </c>
      <c r="H40" s="19">
        <f t="shared" si="11"/>
        <v>55995973</v>
      </c>
      <c r="I40" s="19">
        <f t="shared" si="11"/>
        <v>36403288</v>
      </c>
      <c r="J40" s="19">
        <f t="shared" si="11"/>
        <v>27209594</v>
      </c>
      <c r="K40" s="20">
        <f t="shared" si="0"/>
        <v>318121195</v>
      </c>
    </row>
    <row r="41" spans="1:11" ht="31.5" x14ac:dyDescent="0.25">
      <c r="A41" s="13" t="s">
        <v>38</v>
      </c>
      <c r="B41" s="5" t="s">
        <v>28</v>
      </c>
      <c r="C41" s="21">
        <f>2642636+804698-758684-3950</f>
        <v>2684700</v>
      </c>
      <c r="D41" s="21">
        <f>61398+3950</f>
        <v>65348</v>
      </c>
      <c r="E41" s="21">
        <f>1635685+373981-389770</f>
        <v>1619896</v>
      </c>
      <c r="F41" s="21">
        <f>1167261+81167-281420</f>
        <v>967008</v>
      </c>
      <c r="G41" s="22">
        <f>740506-136314</f>
        <v>604192</v>
      </c>
      <c r="H41" s="21">
        <f>1177773+117008-383578</f>
        <v>911203</v>
      </c>
      <c r="I41" s="21">
        <f>733870+122582-137968</f>
        <v>718484</v>
      </c>
      <c r="J41" s="21">
        <f>465865-4058</f>
        <v>461807</v>
      </c>
      <c r="K41" s="23">
        <f t="shared" si="0"/>
        <v>8032638</v>
      </c>
    </row>
    <row r="42" spans="1:11" ht="31.5" x14ac:dyDescent="0.25">
      <c r="A42" s="13" t="s">
        <v>39</v>
      </c>
      <c r="B42" s="5" t="s">
        <v>40</v>
      </c>
      <c r="C42" s="21">
        <v>499587</v>
      </c>
      <c r="D42" s="21"/>
      <c r="E42" s="21"/>
      <c r="F42" s="21"/>
      <c r="G42" s="22"/>
      <c r="H42" s="21"/>
      <c r="I42" s="21"/>
      <c r="J42" s="21"/>
      <c r="K42" s="23">
        <f t="shared" si="0"/>
        <v>499587</v>
      </c>
    </row>
    <row r="43" spans="1:11" ht="31.5" x14ac:dyDescent="0.25">
      <c r="A43" s="13" t="s">
        <v>42</v>
      </c>
      <c r="B43" s="5" t="s">
        <v>41</v>
      </c>
      <c r="C43" s="21">
        <v>41425721</v>
      </c>
      <c r="D43" s="21">
        <v>2879109</v>
      </c>
      <c r="E43" s="21">
        <f>46152282+5900000</f>
        <v>52052282</v>
      </c>
      <c r="F43" s="21">
        <v>45703643</v>
      </c>
      <c r="G43" s="21">
        <v>30188930</v>
      </c>
      <c r="H43" s="21">
        <f>52386208+2057602+490960</f>
        <v>54934770</v>
      </c>
      <c r="I43" s="21">
        <f>33291620+2393184</f>
        <v>35684804</v>
      </c>
      <c r="J43" s="21">
        <v>26747787</v>
      </c>
      <c r="K43" s="23">
        <f t="shared" si="0"/>
        <v>289617046</v>
      </c>
    </row>
    <row r="44" spans="1:11" ht="63" x14ac:dyDescent="0.25">
      <c r="A44" s="27" t="s">
        <v>43</v>
      </c>
      <c r="B44" s="28" t="s">
        <v>45</v>
      </c>
      <c r="C44" s="29"/>
      <c r="D44" s="29"/>
      <c r="E44" s="29">
        <v>821924</v>
      </c>
      <c r="F44" s="29"/>
      <c r="G44" s="30"/>
      <c r="H44" s="29"/>
      <c r="I44" s="29"/>
      <c r="J44" s="29"/>
      <c r="K44" s="31">
        <f t="shared" ref="K44" si="12">SUM(C44:J44)</f>
        <v>821924</v>
      </c>
    </row>
    <row r="45" spans="1:11" ht="31.5" x14ac:dyDescent="0.25">
      <c r="A45" s="13" t="s">
        <v>44</v>
      </c>
      <c r="B45" s="5" t="s">
        <v>46</v>
      </c>
      <c r="C45" s="21"/>
      <c r="D45" s="21"/>
      <c r="E45" s="21"/>
      <c r="F45" s="21"/>
      <c r="G45" s="22"/>
      <c r="H45" s="21">
        <v>150000</v>
      </c>
      <c r="I45" s="21"/>
      <c r="J45" s="21"/>
      <c r="K45" s="23">
        <f t="shared" ref="K45" si="13">SUM(C45:J45)</f>
        <v>150000</v>
      </c>
    </row>
    <row r="46" spans="1:11" ht="63.75" thickBot="1" x14ac:dyDescent="0.3">
      <c r="A46" s="38" t="s">
        <v>78</v>
      </c>
      <c r="B46" s="39" t="s">
        <v>79</v>
      </c>
      <c r="C46" s="40">
        <f>0+19000000</f>
        <v>19000000</v>
      </c>
      <c r="D46" s="40"/>
      <c r="E46" s="40"/>
      <c r="F46" s="40"/>
      <c r="G46" s="41"/>
      <c r="H46" s="40"/>
      <c r="I46" s="40"/>
      <c r="J46" s="40"/>
      <c r="K46" s="42">
        <f t="shared" ref="K46" si="14">SUM(C46:J46)</f>
        <v>19000000</v>
      </c>
    </row>
  </sheetData>
  <mergeCells count="1">
    <mergeCell ref="A5:K5"/>
  </mergeCells>
  <phoneticPr fontId="1" type="noConversion"/>
  <printOptions horizontalCentered="1"/>
  <pageMargins left="0.23622047244094491" right="0.15748031496062992" top="0.59055118110236227" bottom="0" header="0" footer="0"/>
  <pageSetup paperSize="9" scale="80" firstPageNumber="189" fitToHeight="9" orientation="landscape" useFirstPageNumber="1" verticalDpi="180" r:id="rId1"/>
  <headerFooter>
    <oddHeader>&amp;C&amp;P</oddHeader>
  </headerFooter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 (1215)</vt:lpstr>
      <vt:lpstr>'Приложение № 4 (1215)'!Заголовки_для_печати</vt:lpstr>
      <vt:lpstr>'Приложение № 4 (1215)'!Область_печати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2024-01-25T12:06:52Z</dcterms:modified>
</cp:coreProperties>
</file>